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CA Workforce Council\Meeting Agendas\January 25 2022\"/>
    </mc:Choice>
  </mc:AlternateContent>
  <xr:revisionPtr revIDLastSave="0" documentId="8_{E4207391-1B2A-4A6A-92EB-53CCD6B76F26}" xr6:coauthVersionLast="47" xr6:coauthVersionMax="47" xr10:uidLastSave="{00000000-0000-0000-0000-000000000000}"/>
  <bookViews>
    <workbookView xWindow="4884" yWindow="3084" windowWidth="17280" windowHeight="8964" activeTab="1" xr2:uid="{9E15177C-CAD9-439A-9A57-7ACF4A077426}"/>
  </bookViews>
  <sheets>
    <sheet name="FY 21 July 2020-June 2021" sheetId="1" r:id="rId1"/>
    <sheet name="FY 22 Q 1 &amp; 2-July-Dec 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2" l="1"/>
  <c r="B33" i="2"/>
  <c r="E27" i="2"/>
  <c r="B24" i="2"/>
  <c r="B25" i="2" s="1"/>
  <c r="E18" i="2"/>
  <c r="E16" i="2"/>
  <c r="E13" i="2"/>
  <c r="B11" i="2"/>
  <c r="B9" i="2"/>
  <c r="B10" i="2" s="1"/>
  <c r="E10" i="2" s="1"/>
  <c r="B30" i="2" l="1"/>
  <c r="E25" i="2"/>
  <c r="B21" i="2"/>
  <c r="B32" i="2" s="1"/>
  <c r="B35" i="2" s="1"/>
  <c r="E9" i="2"/>
  <c r="E21" i="2" s="1"/>
  <c r="E24" i="2"/>
  <c r="E30" i="2" s="1"/>
  <c r="K32" i="1"/>
  <c r="K26" i="1"/>
  <c r="K17" i="1"/>
  <c r="K16" i="1"/>
  <c r="K14" i="1"/>
  <c r="K13" i="1"/>
  <c r="K12" i="1"/>
  <c r="K11" i="1"/>
  <c r="K10" i="1"/>
  <c r="K9" i="1"/>
  <c r="K6" i="1"/>
  <c r="F32" i="1"/>
  <c r="H32" i="1" s="1"/>
  <c r="B32" i="1"/>
  <c r="B34" i="1" s="1"/>
  <c r="D34" i="1" s="1"/>
  <c r="D31" i="1"/>
  <c r="B29" i="1"/>
  <c r="D29" i="1" s="1"/>
  <c r="H28" i="1"/>
  <c r="K28" i="1" s="1"/>
  <c r="H27" i="1"/>
  <c r="K27" i="1" s="1"/>
  <c r="D27" i="1"/>
  <c r="H26" i="1"/>
  <c r="D26" i="1"/>
  <c r="F25" i="1"/>
  <c r="H25" i="1" s="1"/>
  <c r="K25" i="1" s="1"/>
  <c r="H24" i="1"/>
  <c r="K24" i="1" s="1"/>
  <c r="D24" i="1"/>
  <c r="F23" i="1"/>
  <c r="H23" i="1" s="1"/>
  <c r="K23" i="1" s="1"/>
  <c r="D23" i="1"/>
  <c r="H22" i="1"/>
  <c r="K22" i="1" s="1"/>
  <c r="D22" i="1"/>
  <c r="C18" i="1"/>
  <c r="H17" i="1"/>
  <c r="D17" i="1"/>
  <c r="H16" i="1"/>
  <c r="F15" i="1"/>
  <c r="B15" i="1"/>
  <c r="D15" i="1" s="1"/>
  <c r="H14" i="1"/>
  <c r="D14" i="1"/>
  <c r="H13" i="1"/>
  <c r="D13" i="1"/>
  <c r="H12" i="1"/>
  <c r="D12" i="1"/>
  <c r="H11" i="1"/>
  <c r="D11" i="1"/>
  <c r="H10" i="1"/>
  <c r="H9" i="1"/>
  <c r="D9" i="1"/>
  <c r="F8" i="1"/>
  <c r="H8" i="1" s="1"/>
  <c r="D8" i="1"/>
  <c r="F7" i="1"/>
  <c r="B7" i="1"/>
  <c r="B18" i="1" s="1"/>
  <c r="H6" i="1"/>
  <c r="D6" i="1"/>
  <c r="K15" i="1" l="1"/>
  <c r="K7" i="1"/>
  <c r="K18" i="1" s="1"/>
  <c r="D18" i="1"/>
  <c r="D7" i="1"/>
  <c r="H15" i="1"/>
  <c r="E32" i="2"/>
  <c r="E35" i="2" s="1"/>
  <c r="F18" i="1"/>
  <c r="D32" i="1"/>
  <c r="H7" i="1"/>
  <c r="F29" i="1"/>
  <c r="F31" i="1" l="1"/>
  <c r="K31" i="1" s="1"/>
  <c r="K34" i="1" s="1"/>
  <c r="H18" i="1"/>
  <c r="H31" i="1"/>
  <c r="H34" i="1" s="1"/>
  <c r="F34" i="1"/>
  <c r="H29" i="1"/>
  <c r="K29" i="1" s="1"/>
</calcChain>
</file>

<file path=xl/sharedStrings.xml><?xml version="1.0" encoding="utf-8"?>
<sst xmlns="http://schemas.openxmlformats.org/spreadsheetml/2006/main" count="122" uniqueCount="85">
  <si>
    <t>July 2020-January 2021</t>
  </si>
  <si>
    <t xml:space="preserve">TUF In-Kind (optional) </t>
  </si>
  <si>
    <t xml:space="preserve">TOTAL </t>
  </si>
  <si>
    <t xml:space="preserve">Budget Justification  </t>
  </si>
  <si>
    <t>February-June 2021</t>
  </si>
  <si>
    <t>TOTAL July 2020-June 2021</t>
  </si>
  <si>
    <t xml:space="preserve">I. TUF Administration Costs </t>
  </si>
  <si>
    <t xml:space="preserve">Personnel </t>
  </si>
  <si>
    <t xml:space="preserve">  TUF Ex. Dir/10%; TUF Bookkeeper/5%</t>
  </si>
  <si>
    <t>Fringe Benefits and Employer taxes</t>
  </si>
  <si>
    <t xml:space="preserve">salaries full-time x .3665 </t>
  </si>
  <si>
    <t xml:space="preserve">Travel - Staff </t>
  </si>
  <si>
    <t xml:space="preserve">.545 cents per mile </t>
  </si>
  <si>
    <t>.545 per mile x 500 miles</t>
  </si>
  <si>
    <t>Equip./Equip.  Maint./Tech Support</t>
  </si>
  <si>
    <t>$12,600.00-Swift River Consulting--one time costs to update Salesforce Database; $5,492.93-Geeks for Good, Tech Support; $2322.64 (laptop, monitors for new emp.)</t>
  </si>
  <si>
    <t xml:space="preserve">Swift River Consulting--database consulting;  Geeks for Good, Tech Support </t>
  </si>
  <si>
    <t>Software/Software Licenses</t>
  </si>
  <si>
    <t>Salesforce licenses; zoom; form assembly, constant contact</t>
  </si>
  <si>
    <t>Salesforce licenses; zoom; form assembly, constant contact; other</t>
  </si>
  <si>
    <t xml:space="preserve">Office Supplies </t>
  </si>
  <si>
    <t>Various materials</t>
  </si>
  <si>
    <t>various materials</t>
  </si>
  <si>
    <t xml:space="preserve">Postage </t>
  </si>
  <si>
    <t>general postage</t>
  </si>
  <si>
    <t xml:space="preserve">Telephone/Wireless </t>
  </si>
  <si>
    <t>cell phones for staff; office phone system payment</t>
  </si>
  <si>
    <t>Printing &amp; Advertising</t>
  </si>
  <si>
    <t xml:space="preserve">Rent </t>
  </si>
  <si>
    <t>$324/month-lease x 7 months</t>
  </si>
  <si>
    <t>$324/month-lease x 5 months</t>
  </si>
  <si>
    <t>Other-</t>
  </si>
  <si>
    <t>misc. left off of July invoice by mistake</t>
  </si>
  <si>
    <t>NA</t>
  </si>
  <si>
    <t>a. Legal b. Annual audit c. Red Cross annual fee</t>
  </si>
  <si>
    <t>$67.50-TUF Fund Counsel, contract review; $2500-Annual audit; $364.00</t>
  </si>
  <si>
    <t>Administration Costs Subtotal</t>
  </si>
  <si>
    <t>Orientation Costs (no stipends)</t>
  </si>
  <si>
    <t>163 sessions August 2020-January 2021</t>
  </si>
  <si>
    <t>Personnel</t>
  </si>
  <si>
    <t>PCA Director (started 12/14//20); Admin Coord; Enr. Spec; Enr. Spec (started 9/14/20)</t>
  </si>
  <si>
    <t>PCA Director; Admin Coord; Enr. Spec; Enr. Spec</t>
  </si>
  <si>
    <t>Fringe Benefits and Employer Taxes</t>
  </si>
  <si>
    <t>Salary x .365</t>
  </si>
  <si>
    <t>Salary + .365%</t>
  </si>
  <si>
    <t>Trainers Wages and taxes</t>
  </si>
  <si>
    <t>Trainer wages and admin support</t>
  </si>
  <si>
    <t>Wages + .0765%</t>
  </si>
  <si>
    <t>Payroll Service Weekly Fees</t>
  </si>
  <si>
    <t>Payroll Service weekly fees</t>
  </si>
  <si>
    <t>Translation Services</t>
  </si>
  <si>
    <t>Spanish translation of materials</t>
  </si>
  <si>
    <t>Other-Program Consultant</t>
  </si>
  <si>
    <t>Linda Vannoni/Sept-Dec; worked on database upgrade and helped reorganize orientation staff roles</t>
  </si>
  <si>
    <t>Other-background check fees for new employees</t>
  </si>
  <si>
    <t>$75 per background check</t>
  </si>
  <si>
    <t xml:space="preserve">Orientation Costs Subtotal </t>
  </si>
  <si>
    <t>Total Admin and Orientation Costs</t>
  </si>
  <si>
    <t>PCA Stipends</t>
  </si>
  <si>
    <t>1856 PCAs completed Aug 2020-Jan 2021 x $54</t>
  </si>
  <si>
    <t>Overall Total</t>
  </si>
  <si>
    <t>3938 PCAs completed orientation August '20-June '21)</t>
  </si>
  <si>
    <t>TUF Fund Counsel-contract review; annual audit</t>
  </si>
  <si>
    <t>1199 Training and Upgrading Fund Budget</t>
  </si>
  <si>
    <t>July 1, 2020-June 30, 2021</t>
  </si>
  <si>
    <t xml:space="preserve">Training Fund </t>
  </si>
  <si>
    <t>Expenses July-December 2021</t>
  </si>
  <si>
    <t xml:space="preserve">  TUF Ex. Dir/$8851  TUF Bookkeeper/$3114</t>
  </si>
  <si>
    <t>.545 cents per mile x 500 miles</t>
  </si>
  <si>
    <t>Swift River; RC3P Tech</t>
  </si>
  <si>
    <t>$220/month (4 cell phones x 12 months; $9/month office lines)</t>
  </si>
  <si>
    <t>$327/month-lease x 12 months</t>
  </si>
  <si>
    <t xml:space="preserve">Other (specify) </t>
  </si>
  <si>
    <t>a. Legal b. Annual audit</t>
  </si>
  <si>
    <t>$500-TUF Fund Counsel, contract review; $2500-Annual audit</t>
  </si>
  <si>
    <t>21 Sessions per month (20 English; 1 Spanish)</t>
  </si>
  <si>
    <t xml:space="preserve">PCA Director; Admin Coord; Enrollment Spec) </t>
  </si>
  <si>
    <t xml:space="preserve">Marketing </t>
  </si>
  <si>
    <t xml:space="preserve">Trainer wages and admin support </t>
  </si>
  <si>
    <t>(d) Site Rental</t>
  </si>
  <si>
    <t>e) Translation Services</t>
  </si>
  <si>
    <t>300/month x 12 months x $54 ($48 plus employer taxes)</t>
  </si>
  <si>
    <t>1,798 PCAs completed orientations July-Dec</t>
  </si>
  <si>
    <t>Expenses</t>
  </si>
  <si>
    <t>approx. 350 PCAs complete orientations x 11 months (3850)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</si>
</sst>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64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164" fontId="0" fillId="0" borderId="0" xfId="0" applyNumberFormat="1"/>
    <xf numFmtId="165" fontId="3" fillId="0" borderId="1" xfId="0" applyNumberFormat="1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49" fontId="4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wrapText="1"/>
    </xf>
    <xf numFmtId="164" fontId="0" fillId="0" borderId="1" xfId="0" applyNumberFormat="1" applyFill="1" applyBorder="1"/>
    <xf numFmtId="165" fontId="0" fillId="0" borderId="1" xfId="0" applyNumberFormat="1" applyBorder="1"/>
    <xf numFmtId="0" fontId="0" fillId="2" borderId="0" xfId="0" applyFill="1" applyAlignment="1">
      <alignment wrapText="1"/>
    </xf>
    <xf numFmtId="164" fontId="1" fillId="2" borderId="0" xfId="0" applyNumberFormat="1" applyFont="1" applyFill="1"/>
    <xf numFmtId="16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wrapText="1"/>
    </xf>
    <xf numFmtId="164" fontId="0" fillId="2" borderId="1" xfId="0" applyNumberFormat="1" applyFill="1" applyBorder="1"/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" fillId="3" borderId="0" xfId="0" applyFont="1" applyFill="1"/>
    <xf numFmtId="164" fontId="1" fillId="3" borderId="0" xfId="0" applyNumberFormat="1" applyFont="1" applyFill="1"/>
    <xf numFmtId="0" fontId="0" fillId="0" borderId="0" xfId="0" applyAlignment="1">
      <alignment horizontal="center"/>
    </xf>
    <xf numFmtId="0" fontId="0" fillId="4" borderId="0" xfId="0" applyFill="1"/>
    <xf numFmtId="164" fontId="0" fillId="4" borderId="0" xfId="0" applyNumberFormat="1" applyFill="1"/>
    <xf numFmtId="0" fontId="0" fillId="4" borderId="0" xfId="0" applyFill="1" applyAlignment="1">
      <alignment wrapText="1"/>
    </xf>
    <xf numFmtId="0" fontId="3" fillId="0" borderId="0" xfId="0" applyFont="1"/>
    <xf numFmtId="164" fontId="5" fillId="0" borderId="0" xfId="0" applyNumberFormat="1" applyFont="1"/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5" fillId="5" borderId="1" xfId="0" applyFont="1" applyFill="1" applyBorder="1"/>
    <xf numFmtId="164" fontId="5" fillId="5" borderId="1" xfId="0" applyNumberFormat="1" applyFont="1" applyFill="1" applyBorder="1"/>
    <xf numFmtId="0" fontId="5" fillId="5" borderId="1" xfId="0" applyFont="1" applyFill="1" applyBorder="1" applyAlignment="1">
      <alignment wrapText="1"/>
    </xf>
    <xf numFmtId="165" fontId="5" fillId="2" borderId="1" xfId="0" applyNumberFormat="1" applyFont="1" applyFill="1" applyBorder="1"/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164" fontId="5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/>
    <xf numFmtId="164" fontId="3" fillId="0" borderId="0" xfId="0" applyNumberFormat="1" applyFont="1"/>
    <xf numFmtId="0" fontId="3" fillId="0" borderId="0" xfId="0" applyFont="1" applyAlignment="1">
      <alignment wrapText="1"/>
    </xf>
    <xf numFmtId="165" fontId="5" fillId="0" borderId="1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/>
    <xf numFmtId="0" fontId="1" fillId="2" borderId="0" xfId="0" applyFont="1" applyFill="1"/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165" fontId="7" fillId="0" borderId="1" xfId="0" applyNumberFormat="1" applyFont="1" applyBorder="1"/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ACE5-02E1-4D47-A140-5B9CAFCEDE0C}">
  <dimension ref="A2:L35"/>
  <sheetViews>
    <sheetView topLeftCell="A28" workbookViewId="0">
      <selection activeCell="N25" sqref="N25"/>
    </sheetView>
  </sheetViews>
  <sheetFormatPr defaultRowHeight="14.4" x14ac:dyDescent="0.3"/>
  <cols>
    <col min="1" max="1" width="22.5546875" style="15" customWidth="1"/>
    <col min="2" max="2" width="20.109375" hidden="1" customWidth="1"/>
    <col min="3" max="3" width="8.44140625" hidden="1" customWidth="1"/>
    <col min="4" max="4" width="10.88671875" hidden="1" customWidth="1"/>
    <col min="5" max="5" width="43.88671875" hidden="1" customWidth="1"/>
    <col min="6" max="6" width="13.77734375" hidden="1" customWidth="1"/>
    <col min="7" max="7" width="0" hidden="1" customWidth="1"/>
    <col min="8" max="8" width="25.44140625" customWidth="1"/>
    <col min="9" max="9" width="36.109375" bestFit="1" customWidth="1"/>
    <col min="11" max="11" width="17.21875" customWidth="1"/>
    <col min="12" max="12" width="22.6640625" customWidth="1"/>
  </cols>
  <sheetData>
    <row r="2" spans="1:11" ht="57.6" x14ac:dyDescent="0.3">
      <c r="A2" s="26"/>
      <c r="B2" s="27" t="s">
        <v>0</v>
      </c>
      <c r="C2" s="28" t="s">
        <v>1</v>
      </c>
      <c r="D2" s="27" t="s">
        <v>2</v>
      </c>
      <c r="E2" s="29" t="s">
        <v>3</v>
      </c>
      <c r="F2" s="28" t="s">
        <v>4</v>
      </c>
      <c r="G2" s="30"/>
      <c r="H2" s="29" t="s">
        <v>5</v>
      </c>
      <c r="I2" s="29" t="s">
        <v>3</v>
      </c>
      <c r="K2" s="65" t="s">
        <v>83</v>
      </c>
    </row>
    <row r="3" spans="1:11" x14ac:dyDescent="0.3">
      <c r="A3" s="26"/>
      <c r="B3" s="27"/>
      <c r="C3" s="28"/>
      <c r="D3" s="27"/>
      <c r="E3" s="29"/>
      <c r="F3" s="28"/>
      <c r="G3" s="30"/>
      <c r="H3" s="29"/>
      <c r="I3" s="29"/>
      <c r="K3" s="65"/>
    </row>
    <row r="4" spans="1:11" x14ac:dyDescent="0.3">
      <c r="A4" s="26"/>
      <c r="B4" s="27"/>
      <c r="C4" s="28"/>
      <c r="D4" s="27"/>
      <c r="E4" s="29"/>
      <c r="F4" s="28"/>
      <c r="G4" s="30"/>
      <c r="H4" s="29"/>
      <c r="I4" s="29"/>
      <c r="K4" s="65"/>
    </row>
    <row r="5" spans="1:11" ht="54" x14ac:dyDescent="0.35">
      <c r="A5" s="23" t="s">
        <v>6</v>
      </c>
      <c r="B5" s="1"/>
      <c r="C5" s="1"/>
      <c r="D5" s="1"/>
      <c r="E5" s="2"/>
      <c r="F5" s="3"/>
      <c r="H5" s="4"/>
      <c r="I5" s="2"/>
    </row>
    <row r="6" spans="1:11" x14ac:dyDescent="0.3">
      <c r="A6" s="7" t="s">
        <v>7</v>
      </c>
      <c r="B6" s="6">
        <v>10038.870000000001</v>
      </c>
      <c r="C6" s="6"/>
      <c r="D6" s="6">
        <f t="shared" ref="D6:D15" si="0">SUM(B6:C6)</f>
        <v>10038.870000000001</v>
      </c>
      <c r="E6" s="7" t="s">
        <v>8</v>
      </c>
      <c r="F6" s="8">
        <v>6603.19</v>
      </c>
      <c r="H6" s="1">
        <f>B6+F6</f>
        <v>16642.060000000001</v>
      </c>
      <c r="I6" s="7" t="s">
        <v>8</v>
      </c>
      <c r="K6" s="1">
        <f>(B6+F6)</f>
        <v>16642.060000000001</v>
      </c>
    </row>
    <row r="7" spans="1:11" ht="28.8" x14ac:dyDescent="0.3">
      <c r="A7" s="7" t="s">
        <v>9</v>
      </c>
      <c r="B7" s="6">
        <f>(B6*0.3665)</f>
        <v>3679.2458550000001</v>
      </c>
      <c r="C7" s="6"/>
      <c r="D7" s="6">
        <f t="shared" si="0"/>
        <v>3679.2458550000001</v>
      </c>
      <c r="E7" s="7" t="s">
        <v>10</v>
      </c>
      <c r="F7" s="8">
        <f>(F6*0.3665)</f>
        <v>2420.0691349999997</v>
      </c>
      <c r="H7" s="1">
        <f t="shared" ref="H7:H17" si="1">B7+F7</f>
        <v>6099.3149899999999</v>
      </c>
      <c r="I7" s="7" t="s">
        <v>10</v>
      </c>
      <c r="K7" s="1">
        <f t="shared" ref="K7:K17" si="2">(B7+F7)</f>
        <v>6099.3149899999999</v>
      </c>
    </row>
    <row r="8" spans="1:11" x14ac:dyDescent="0.3">
      <c r="A8" s="7" t="s">
        <v>11</v>
      </c>
      <c r="B8" s="6">
        <v>0</v>
      </c>
      <c r="C8" s="6"/>
      <c r="D8" s="6">
        <f t="shared" si="0"/>
        <v>0</v>
      </c>
      <c r="E8" s="7" t="s">
        <v>12</v>
      </c>
      <c r="F8" s="3">
        <f>(500*0.545)</f>
        <v>272.5</v>
      </c>
      <c r="H8" s="1">
        <f t="shared" si="1"/>
        <v>272.5</v>
      </c>
      <c r="I8" s="2" t="s">
        <v>13</v>
      </c>
      <c r="K8" s="1">
        <v>0</v>
      </c>
    </row>
    <row r="9" spans="1:11" ht="57.6" x14ac:dyDescent="0.3">
      <c r="A9" s="7" t="s">
        <v>14</v>
      </c>
      <c r="B9" s="6">
        <v>20415.57</v>
      </c>
      <c r="C9" s="6"/>
      <c r="D9" s="6">
        <f t="shared" si="0"/>
        <v>20415.57</v>
      </c>
      <c r="E9" s="7" t="s">
        <v>15</v>
      </c>
      <c r="F9" s="8">
        <v>7000</v>
      </c>
      <c r="H9" s="1">
        <f t="shared" si="1"/>
        <v>27415.57</v>
      </c>
      <c r="I9" s="7" t="s">
        <v>16</v>
      </c>
      <c r="K9" s="1">
        <f t="shared" si="2"/>
        <v>27415.57</v>
      </c>
    </row>
    <row r="10" spans="1:11" ht="28.8" x14ac:dyDescent="0.3">
      <c r="A10" s="7" t="s">
        <v>17</v>
      </c>
      <c r="B10" s="6">
        <v>11362.92</v>
      </c>
      <c r="C10" s="6"/>
      <c r="D10" s="6">
        <v>12000</v>
      </c>
      <c r="E10" s="7" t="s">
        <v>18</v>
      </c>
      <c r="F10" s="8">
        <v>5000</v>
      </c>
      <c r="H10" s="1">
        <f t="shared" si="1"/>
        <v>16362.92</v>
      </c>
      <c r="I10" s="7" t="s">
        <v>19</v>
      </c>
      <c r="K10" s="1">
        <f t="shared" si="2"/>
        <v>16362.92</v>
      </c>
    </row>
    <row r="11" spans="1:11" x14ac:dyDescent="0.3">
      <c r="A11" s="7" t="s">
        <v>20</v>
      </c>
      <c r="B11" s="6">
        <v>325.64</v>
      </c>
      <c r="C11" s="6"/>
      <c r="D11" s="6">
        <f t="shared" si="0"/>
        <v>325.64</v>
      </c>
      <c r="E11" s="7" t="s">
        <v>21</v>
      </c>
      <c r="F11" s="8">
        <v>200</v>
      </c>
      <c r="H11" s="1">
        <f t="shared" si="1"/>
        <v>525.64</v>
      </c>
      <c r="I11" s="7" t="s">
        <v>22</v>
      </c>
      <c r="K11" s="1">
        <f t="shared" si="2"/>
        <v>525.64</v>
      </c>
    </row>
    <row r="12" spans="1:11" x14ac:dyDescent="0.3">
      <c r="A12" s="7" t="s">
        <v>23</v>
      </c>
      <c r="B12" s="6">
        <v>80.5</v>
      </c>
      <c r="C12" s="6"/>
      <c r="D12" s="6">
        <f t="shared" si="0"/>
        <v>80.5</v>
      </c>
      <c r="E12" s="7" t="s">
        <v>24</v>
      </c>
      <c r="F12" s="8">
        <v>100</v>
      </c>
      <c r="H12" s="1">
        <f t="shared" si="1"/>
        <v>180.5</v>
      </c>
      <c r="I12" s="7" t="s">
        <v>24</v>
      </c>
      <c r="K12" s="1">
        <f t="shared" si="2"/>
        <v>180.5</v>
      </c>
    </row>
    <row r="13" spans="1:11" ht="28.8" x14ac:dyDescent="0.3">
      <c r="A13" s="7" t="s">
        <v>25</v>
      </c>
      <c r="B13" s="6">
        <v>1734.17</v>
      </c>
      <c r="C13" s="6"/>
      <c r="D13" s="6">
        <f t="shared" si="0"/>
        <v>1734.17</v>
      </c>
      <c r="E13" s="7" t="s">
        <v>26</v>
      </c>
      <c r="F13" s="8">
        <v>2000</v>
      </c>
      <c r="H13" s="1">
        <f t="shared" si="1"/>
        <v>3734.17</v>
      </c>
      <c r="I13" s="7" t="s">
        <v>26</v>
      </c>
      <c r="K13" s="1">
        <f t="shared" si="2"/>
        <v>3734.17</v>
      </c>
    </row>
    <row r="14" spans="1:11" x14ac:dyDescent="0.3">
      <c r="A14" s="7" t="s">
        <v>27</v>
      </c>
      <c r="B14" s="6">
        <v>0</v>
      </c>
      <c r="C14" s="6"/>
      <c r="D14" s="6">
        <f t="shared" si="0"/>
        <v>0</v>
      </c>
      <c r="E14" s="7" t="s">
        <v>21</v>
      </c>
      <c r="F14" s="8">
        <v>500</v>
      </c>
      <c r="H14" s="1">
        <f t="shared" si="1"/>
        <v>500</v>
      </c>
      <c r="I14" s="7" t="s">
        <v>22</v>
      </c>
      <c r="K14" s="1">
        <f t="shared" si="2"/>
        <v>500</v>
      </c>
    </row>
    <row r="15" spans="1:11" x14ac:dyDescent="0.3">
      <c r="A15" s="7" t="s">
        <v>28</v>
      </c>
      <c r="B15" s="6">
        <f>(324*7)</f>
        <v>2268</v>
      </c>
      <c r="C15" s="6"/>
      <c r="D15" s="6">
        <f t="shared" si="0"/>
        <v>2268</v>
      </c>
      <c r="E15" s="7" t="s">
        <v>29</v>
      </c>
      <c r="F15" s="8">
        <f>(324*5)</f>
        <v>1620</v>
      </c>
      <c r="H15" s="1">
        <f t="shared" si="1"/>
        <v>3888</v>
      </c>
      <c r="I15" s="7" t="s">
        <v>30</v>
      </c>
      <c r="K15" s="1">
        <f t="shared" si="2"/>
        <v>3888</v>
      </c>
    </row>
    <row r="16" spans="1:11" x14ac:dyDescent="0.3">
      <c r="A16" s="7" t="s">
        <v>31</v>
      </c>
      <c r="B16" s="6">
        <v>1039.58</v>
      </c>
      <c r="C16" s="6"/>
      <c r="D16" s="6"/>
      <c r="E16" s="7" t="s">
        <v>32</v>
      </c>
      <c r="F16" s="8">
        <v>0</v>
      </c>
      <c r="H16" s="1">
        <f t="shared" si="1"/>
        <v>1039.58</v>
      </c>
      <c r="I16" s="7" t="s">
        <v>33</v>
      </c>
      <c r="K16" s="1">
        <f t="shared" si="2"/>
        <v>1039.58</v>
      </c>
    </row>
    <row r="17" spans="1:12" ht="28.8" x14ac:dyDescent="0.3">
      <c r="A17" s="2" t="s">
        <v>34</v>
      </c>
      <c r="B17" s="1">
        <v>2931.5</v>
      </c>
      <c r="C17" s="1"/>
      <c r="D17" s="1">
        <f t="shared" ref="D17" si="3">SUM(B17:C17)</f>
        <v>2931.5</v>
      </c>
      <c r="E17" s="2" t="s">
        <v>35</v>
      </c>
      <c r="F17" s="3">
        <v>500</v>
      </c>
      <c r="H17" s="1">
        <f t="shared" si="1"/>
        <v>3431.5</v>
      </c>
      <c r="I17" s="2" t="s">
        <v>62</v>
      </c>
      <c r="K17" s="1">
        <f t="shared" si="2"/>
        <v>3431.5</v>
      </c>
    </row>
    <row r="18" spans="1:12" ht="28.8" x14ac:dyDescent="0.3">
      <c r="A18" s="31" t="s">
        <v>36</v>
      </c>
      <c r="B18" s="32">
        <f>SUM(B6:B17)</f>
        <v>53875.995855000001</v>
      </c>
      <c r="C18" s="32">
        <f>SUM(C6:C17)</f>
        <v>0</v>
      </c>
      <c r="D18" s="32">
        <f>SUM(B18:C18)</f>
        <v>53875.995855000001</v>
      </c>
      <c r="E18" s="31"/>
      <c r="F18" s="33">
        <f>SUM(F6:F17)</f>
        <v>26215.759135</v>
      </c>
      <c r="G18" s="30"/>
      <c r="H18" s="32">
        <f>SUM(H6:H17)</f>
        <v>80091.754990000001</v>
      </c>
      <c r="I18" s="31"/>
      <c r="K18" s="34">
        <f>SUM(K6:K17)</f>
        <v>79819.254990000001</v>
      </c>
    </row>
    <row r="19" spans="1:12" x14ac:dyDescent="0.3">
      <c r="A19" s="10"/>
      <c r="B19" s="9"/>
      <c r="C19" s="9"/>
      <c r="D19" s="9"/>
      <c r="E19" s="10"/>
      <c r="F19" s="11"/>
      <c r="H19" s="13"/>
      <c r="I19" s="12"/>
    </row>
    <row r="20" spans="1:12" x14ac:dyDescent="0.3">
      <c r="A20" s="10"/>
      <c r="B20" s="9"/>
      <c r="C20" s="9"/>
      <c r="D20" s="9"/>
      <c r="E20" s="10"/>
      <c r="F20" s="14"/>
      <c r="I20" s="15"/>
    </row>
    <row r="21" spans="1:12" ht="28.8" x14ac:dyDescent="0.3">
      <c r="A21" s="10" t="s">
        <v>37</v>
      </c>
      <c r="B21" s="9"/>
      <c r="C21" s="9"/>
      <c r="D21" s="9"/>
      <c r="E21" s="10" t="s">
        <v>38</v>
      </c>
      <c r="F21" s="14"/>
      <c r="I21" s="15"/>
    </row>
    <row r="22" spans="1:12" ht="28.8" x14ac:dyDescent="0.3">
      <c r="A22" s="7" t="s">
        <v>39</v>
      </c>
      <c r="B22" s="6">
        <v>80814.710000000006</v>
      </c>
      <c r="C22" s="6"/>
      <c r="D22" s="6">
        <f>SUM(B22:C22)</f>
        <v>80814.710000000006</v>
      </c>
      <c r="E22" s="16" t="s">
        <v>40</v>
      </c>
      <c r="F22" s="3">
        <v>73732</v>
      </c>
      <c r="H22" s="1">
        <f t="shared" ref="H22:H28" si="4">B22+F22</f>
        <v>154546.71000000002</v>
      </c>
      <c r="I22" s="7" t="s">
        <v>41</v>
      </c>
      <c r="K22" s="1">
        <f>H22</f>
        <v>154546.71000000002</v>
      </c>
    </row>
    <row r="23" spans="1:12" ht="28.8" x14ac:dyDescent="0.3">
      <c r="A23" s="2" t="s">
        <v>42</v>
      </c>
      <c r="B23" s="1">
        <v>28129.72</v>
      </c>
      <c r="C23" s="1"/>
      <c r="D23" s="1">
        <f>SUM(B23:C23)</f>
        <v>28129.72</v>
      </c>
      <c r="E23" s="17" t="s">
        <v>43</v>
      </c>
      <c r="F23" s="3">
        <f>(F22*0.365)</f>
        <v>26912.18</v>
      </c>
      <c r="H23" s="1">
        <f t="shared" si="4"/>
        <v>55041.9</v>
      </c>
      <c r="I23" s="2" t="s">
        <v>44</v>
      </c>
      <c r="K23" s="1">
        <f>H23</f>
        <v>55041.9</v>
      </c>
    </row>
    <row r="24" spans="1:12" x14ac:dyDescent="0.3">
      <c r="A24" s="7" t="s">
        <v>45</v>
      </c>
      <c r="B24" s="6">
        <v>56029.120000000003</v>
      </c>
      <c r="C24" s="6"/>
      <c r="D24" s="6">
        <f t="shared" ref="D24:D29" si="5">SUM(B24:C24)</f>
        <v>56029.120000000003</v>
      </c>
      <c r="E24" s="16" t="s">
        <v>46</v>
      </c>
      <c r="F24" s="3">
        <v>42357</v>
      </c>
      <c r="H24" s="1">
        <f t="shared" si="4"/>
        <v>98386.12</v>
      </c>
      <c r="I24" s="2" t="s">
        <v>47</v>
      </c>
      <c r="K24" s="1">
        <f t="shared" ref="K24:K29" si="6">H24</f>
        <v>98386.12</v>
      </c>
    </row>
    <row r="25" spans="1:12" ht="28.8" x14ac:dyDescent="0.3">
      <c r="A25" s="7" t="s">
        <v>48</v>
      </c>
      <c r="B25" s="6">
        <v>2204.73</v>
      </c>
      <c r="C25" s="6"/>
      <c r="D25" s="6"/>
      <c r="E25" s="16" t="s">
        <v>49</v>
      </c>
      <c r="F25" s="3">
        <f>(350*5)</f>
        <v>1750</v>
      </c>
      <c r="H25" s="1">
        <f t="shared" si="4"/>
        <v>3954.73</v>
      </c>
      <c r="I25" s="16" t="s">
        <v>49</v>
      </c>
      <c r="K25" s="1">
        <f t="shared" si="6"/>
        <v>3954.73</v>
      </c>
    </row>
    <row r="26" spans="1:12" x14ac:dyDescent="0.3">
      <c r="A26" s="2" t="s">
        <v>50</v>
      </c>
      <c r="B26" s="1">
        <v>1424.66</v>
      </c>
      <c r="C26" s="1"/>
      <c r="D26" s="1">
        <f t="shared" si="5"/>
        <v>1424.66</v>
      </c>
      <c r="E26" s="16" t="s">
        <v>51</v>
      </c>
      <c r="F26" s="3">
        <v>1000</v>
      </c>
      <c r="H26" s="1">
        <f t="shared" si="4"/>
        <v>2424.66</v>
      </c>
      <c r="I26" s="16" t="s">
        <v>51</v>
      </c>
      <c r="K26" s="1">
        <f t="shared" si="6"/>
        <v>2424.66</v>
      </c>
    </row>
    <row r="27" spans="1:12" ht="43.2" x14ac:dyDescent="0.3">
      <c r="A27" s="2" t="s">
        <v>52</v>
      </c>
      <c r="B27" s="1">
        <v>11845.23</v>
      </c>
      <c r="C27" s="1"/>
      <c r="D27" s="1">
        <f t="shared" si="5"/>
        <v>11845.23</v>
      </c>
      <c r="E27" s="16" t="s">
        <v>53</v>
      </c>
      <c r="F27" s="3">
        <v>0</v>
      </c>
      <c r="H27" s="1">
        <f t="shared" si="4"/>
        <v>11845.23</v>
      </c>
      <c r="I27" s="16" t="s">
        <v>53</v>
      </c>
      <c r="K27" s="1">
        <f t="shared" si="6"/>
        <v>11845.23</v>
      </c>
    </row>
    <row r="28" spans="1:12" ht="28.8" x14ac:dyDescent="0.3">
      <c r="A28" s="2" t="s">
        <v>54</v>
      </c>
      <c r="B28" s="1">
        <v>600</v>
      </c>
      <c r="C28" s="1"/>
      <c r="D28" s="1"/>
      <c r="E28" s="16" t="s">
        <v>55</v>
      </c>
      <c r="F28" s="3">
        <v>150</v>
      </c>
      <c r="H28" s="1">
        <f t="shared" si="4"/>
        <v>750</v>
      </c>
      <c r="I28" s="16" t="s">
        <v>55</v>
      </c>
      <c r="K28" s="1">
        <f t="shared" si="6"/>
        <v>750</v>
      </c>
    </row>
    <row r="29" spans="1:12" ht="28.8" x14ac:dyDescent="0.3">
      <c r="A29" s="31" t="s">
        <v>56</v>
      </c>
      <c r="B29" s="32">
        <f>SUM(B22:B28)</f>
        <v>181048.17000000004</v>
      </c>
      <c r="C29" s="32"/>
      <c r="D29" s="32">
        <f t="shared" si="5"/>
        <v>181048.17000000004</v>
      </c>
      <c r="E29" s="35"/>
      <c r="F29" s="33">
        <f>SUM(F22:F28)</f>
        <v>145901.18</v>
      </c>
      <c r="G29" s="30"/>
      <c r="H29" s="32">
        <f>(B29+F29)</f>
        <v>326949.35000000003</v>
      </c>
      <c r="I29" s="31"/>
      <c r="K29" s="34">
        <f t="shared" si="6"/>
        <v>326949.35000000003</v>
      </c>
    </row>
    <row r="30" spans="1:12" x14ac:dyDescent="0.3">
      <c r="B30" s="18"/>
      <c r="C30" s="18"/>
      <c r="D30" s="18"/>
      <c r="E30" s="15"/>
      <c r="F30" s="14"/>
      <c r="I30" s="15"/>
    </row>
    <row r="31" spans="1:12" ht="28.8" x14ac:dyDescent="0.3">
      <c r="A31" s="31" t="s">
        <v>57</v>
      </c>
      <c r="B31" s="32">
        <v>224981.44</v>
      </c>
      <c r="C31" s="32"/>
      <c r="D31" s="32">
        <f>SUM(B31:C31)</f>
        <v>224981.44</v>
      </c>
      <c r="E31" s="31"/>
      <c r="F31" s="33">
        <f>(F18+F29)</f>
        <v>172116.93913499999</v>
      </c>
      <c r="G31" s="30"/>
      <c r="H31" s="32">
        <f>(B31+F31)</f>
        <v>397098.379135</v>
      </c>
      <c r="I31" s="36"/>
      <c r="K31" s="32">
        <f>(B31+F31)</f>
        <v>397098.379135</v>
      </c>
    </row>
    <row r="32" spans="1:12" ht="43.2" x14ac:dyDescent="0.3">
      <c r="A32" s="7" t="s">
        <v>58</v>
      </c>
      <c r="B32" s="19">
        <f>(1856*54)</f>
        <v>100224</v>
      </c>
      <c r="C32" s="5"/>
      <c r="D32" s="6">
        <f>SUM(B32:C32)</f>
        <v>100224</v>
      </c>
      <c r="E32" s="7" t="s">
        <v>59</v>
      </c>
      <c r="F32" s="3">
        <f>(1750*54)</f>
        <v>94500</v>
      </c>
      <c r="H32" s="24">
        <f>(B32+F32)</f>
        <v>194724</v>
      </c>
      <c r="I32" s="66" t="s">
        <v>84</v>
      </c>
      <c r="K32" s="25">
        <f>(3938*54)</f>
        <v>212652</v>
      </c>
      <c r="L32" s="67" t="s">
        <v>61</v>
      </c>
    </row>
    <row r="33" spans="1:11" x14ac:dyDescent="0.3">
      <c r="B33" s="18"/>
      <c r="C33" s="18"/>
      <c r="D33" s="18"/>
      <c r="E33" s="15"/>
      <c r="F33" s="14"/>
      <c r="I33" s="15"/>
    </row>
    <row r="34" spans="1:11" ht="18" x14ac:dyDescent="0.35">
      <c r="A34" s="23" t="s">
        <v>60</v>
      </c>
      <c r="B34" s="20">
        <f>SUM(B31:B33)</f>
        <v>325205.44</v>
      </c>
      <c r="C34" s="1"/>
      <c r="D34" s="1">
        <f>SUM(B34:C34)</f>
        <v>325205.44</v>
      </c>
      <c r="E34" s="2"/>
      <c r="F34" s="21">
        <f>SUM(F31:F33)</f>
        <v>266616.93913499999</v>
      </c>
      <c r="H34" s="20">
        <f>SUM(H31:H33)</f>
        <v>591822.37913500005</v>
      </c>
      <c r="I34" s="2"/>
      <c r="K34" s="20">
        <f>SUM(K31:K33)</f>
        <v>609750.37913500005</v>
      </c>
    </row>
    <row r="35" spans="1:11" x14ac:dyDescent="0.3">
      <c r="B35" s="18"/>
      <c r="C35" s="18"/>
      <c r="D35" s="18"/>
      <c r="E35" s="22"/>
      <c r="F35" s="14"/>
      <c r="I35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CFBEC-C115-413A-A77F-981753B5A95E}">
  <dimension ref="A1:F38"/>
  <sheetViews>
    <sheetView tabSelected="1" workbookViewId="0">
      <selection activeCell="K20" sqref="K20"/>
    </sheetView>
  </sheetViews>
  <sheetFormatPr defaultRowHeight="14.4" x14ac:dyDescent="0.3"/>
  <cols>
    <col min="1" max="1" width="34" customWidth="1"/>
    <col min="2" max="2" width="16.21875" style="18" customWidth="1"/>
    <col min="3" max="3" width="26.88671875" style="18" customWidth="1"/>
    <col min="4" max="4" width="8.21875" style="18" customWidth="1"/>
    <col min="5" max="5" width="14.77734375" style="15" customWidth="1"/>
    <col min="6" max="6" width="18.77734375" style="39" customWidth="1"/>
    <col min="7" max="7" width="14.109375" customWidth="1"/>
  </cols>
  <sheetData>
    <row r="1" spans="1:6" x14ac:dyDescent="0.3">
      <c r="A1" s="37" t="s">
        <v>63</v>
      </c>
      <c r="B1" s="38"/>
      <c r="C1" s="38"/>
    </row>
    <row r="2" spans="1:6" x14ac:dyDescent="0.3">
      <c r="A2" t="s">
        <v>64</v>
      </c>
    </row>
    <row r="4" spans="1:6" x14ac:dyDescent="0.3">
      <c r="A4" s="40"/>
      <c r="B4" s="41"/>
      <c r="C4" s="41"/>
      <c r="E4" s="42"/>
    </row>
    <row r="5" spans="1:6" x14ac:dyDescent="0.3">
      <c r="A5" s="40"/>
      <c r="B5" s="41"/>
      <c r="C5" s="41"/>
      <c r="E5" s="42"/>
    </row>
    <row r="7" spans="1:6" s="43" customFormat="1" ht="28.8" x14ac:dyDescent="0.3">
      <c r="B7" s="44" t="s">
        <v>65</v>
      </c>
      <c r="C7" s="45" t="s">
        <v>3</v>
      </c>
      <c r="E7" s="45" t="s">
        <v>66</v>
      </c>
      <c r="F7" s="46"/>
    </row>
    <row r="8" spans="1:6" s="43" customFormat="1" x14ac:dyDescent="0.3">
      <c r="A8" s="47" t="s">
        <v>6</v>
      </c>
      <c r="B8" s="6"/>
      <c r="C8" s="7"/>
      <c r="E8" s="5"/>
      <c r="F8" s="46"/>
    </row>
    <row r="9" spans="1:6" s="43" customFormat="1" ht="28.8" x14ac:dyDescent="0.3">
      <c r="A9" s="5" t="s">
        <v>7</v>
      </c>
      <c r="B9" s="6">
        <f>(8851+3114)*1.03</f>
        <v>12323.95</v>
      </c>
      <c r="C9" s="7" t="s">
        <v>67</v>
      </c>
      <c r="E9" s="19">
        <f>(B9*0.5)</f>
        <v>6161.9750000000004</v>
      </c>
      <c r="F9" s="46"/>
    </row>
    <row r="10" spans="1:6" s="43" customFormat="1" x14ac:dyDescent="0.3">
      <c r="A10" s="5" t="s">
        <v>9</v>
      </c>
      <c r="B10" s="6">
        <f>(B9*0.3665)</f>
        <v>4516.7276750000001</v>
      </c>
      <c r="C10" s="7" t="s">
        <v>10</v>
      </c>
      <c r="E10" s="19">
        <f>(B10*0.5)</f>
        <v>2258.3638375</v>
      </c>
      <c r="F10" s="46"/>
    </row>
    <row r="11" spans="1:6" s="43" customFormat="1" x14ac:dyDescent="0.3">
      <c r="A11" s="5" t="s">
        <v>11</v>
      </c>
      <c r="B11" s="6">
        <f>(0.545*500)</f>
        <v>272.5</v>
      </c>
      <c r="C11" s="7" t="s">
        <v>68</v>
      </c>
      <c r="E11" s="19">
        <v>0</v>
      </c>
      <c r="F11" s="46"/>
    </row>
    <row r="12" spans="1:6" s="43" customFormat="1" x14ac:dyDescent="0.3">
      <c r="A12" s="5" t="s">
        <v>14</v>
      </c>
      <c r="B12" s="6">
        <v>13300</v>
      </c>
      <c r="C12" s="7" t="s">
        <v>69</v>
      </c>
      <c r="E12" s="19">
        <v>8050</v>
      </c>
      <c r="F12" s="46"/>
    </row>
    <row r="13" spans="1:6" s="43" customFormat="1" ht="43.2" x14ac:dyDescent="0.3">
      <c r="A13" s="5" t="s">
        <v>17</v>
      </c>
      <c r="B13" s="6">
        <v>15162</v>
      </c>
      <c r="C13" s="7" t="s">
        <v>18</v>
      </c>
      <c r="E13" s="19">
        <f>(B13*0.5)</f>
        <v>7581</v>
      </c>
      <c r="F13" s="46"/>
    </row>
    <row r="14" spans="1:6" s="43" customFormat="1" x14ac:dyDescent="0.3">
      <c r="A14" s="5" t="s">
        <v>20</v>
      </c>
      <c r="B14" s="6">
        <v>1500</v>
      </c>
      <c r="C14" s="7" t="s">
        <v>21</v>
      </c>
      <c r="E14" s="19">
        <v>359</v>
      </c>
      <c r="F14" s="46"/>
    </row>
    <row r="15" spans="1:6" s="43" customFormat="1" x14ac:dyDescent="0.3">
      <c r="A15" s="5" t="s">
        <v>23</v>
      </c>
      <c r="B15" s="6">
        <v>360</v>
      </c>
      <c r="C15" s="7" t="s">
        <v>24</v>
      </c>
      <c r="E15" s="19">
        <v>100</v>
      </c>
      <c r="F15" s="46"/>
    </row>
    <row r="16" spans="1:6" s="43" customFormat="1" ht="28.8" x14ac:dyDescent="0.3">
      <c r="A16" s="5" t="s">
        <v>25</v>
      </c>
      <c r="B16" s="6">
        <v>2748</v>
      </c>
      <c r="C16" s="7" t="s">
        <v>70</v>
      </c>
      <c r="E16" s="19">
        <f>(B16*0.5)</f>
        <v>1374</v>
      </c>
      <c r="F16" s="46"/>
    </row>
    <row r="17" spans="1:6" s="43" customFormat="1" x14ac:dyDescent="0.3">
      <c r="A17" s="5" t="s">
        <v>27</v>
      </c>
      <c r="B17" s="6">
        <v>1000</v>
      </c>
      <c r="C17" s="7" t="s">
        <v>21</v>
      </c>
      <c r="E17" s="19">
        <v>0</v>
      </c>
      <c r="F17" s="46"/>
    </row>
    <row r="18" spans="1:6" s="43" customFormat="1" x14ac:dyDescent="0.3">
      <c r="A18" s="5" t="s">
        <v>28</v>
      </c>
      <c r="B18" s="6">
        <v>3924</v>
      </c>
      <c r="C18" s="7" t="s">
        <v>71</v>
      </c>
      <c r="E18" s="19">
        <f>(B18*0.5)</f>
        <v>1962</v>
      </c>
      <c r="F18" s="46"/>
    </row>
    <row r="19" spans="1:6" s="43" customFormat="1" x14ac:dyDescent="0.3">
      <c r="A19" s="5" t="s">
        <v>72</v>
      </c>
      <c r="B19" s="6"/>
      <c r="C19" s="7"/>
      <c r="E19" s="19"/>
      <c r="F19" s="46"/>
    </row>
    <row r="20" spans="1:6" s="43" customFormat="1" ht="43.2" x14ac:dyDescent="0.3">
      <c r="A20" s="5" t="s">
        <v>73</v>
      </c>
      <c r="B20" s="6">
        <v>3000</v>
      </c>
      <c r="C20" s="7" t="s">
        <v>74</v>
      </c>
      <c r="E20" s="19">
        <v>3000</v>
      </c>
      <c r="F20" s="46"/>
    </row>
    <row r="21" spans="1:6" s="43" customFormat="1" x14ac:dyDescent="0.3">
      <c r="A21" s="48" t="s">
        <v>36</v>
      </c>
      <c r="B21" s="49">
        <f>SUM(B9:B20)</f>
        <v>58107.177674999999</v>
      </c>
      <c r="C21" s="50"/>
      <c r="E21" s="51">
        <f>SUM(E9:E20)</f>
        <v>30846.338837499999</v>
      </c>
      <c r="F21" s="46"/>
    </row>
    <row r="22" spans="1:6" s="43" customFormat="1" x14ac:dyDescent="0.3">
      <c r="A22" s="47"/>
      <c r="B22" s="52"/>
      <c r="C22" s="53"/>
      <c r="F22" s="46"/>
    </row>
    <row r="23" spans="1:6" s="43" customFormat="1" ht="28.8" x14ac:dyDescent="0.3">
      <c r="A23" s="47" t="s">
        <v>37</v>
      </c>
      <c r="B23" s="52"/>
      <c r="C23" s="53" t="s">
        <v>75</v>
      </c>
      <c r="F23" s="46"/>
    </row>
    <row r="24" spans="1:6" s="54" customFormat="1" ht="28.8" x14ac:dyDescent="0.3">
      <c r="A24" s="47" t="s">
        <v>39</v>
      </c>
      <c r="B24" s="52">
        <f>(61200+47506+38760)</f>
        <v>147466</v>
      </c>
      <c r="C24" s="53" t="s">
        <v>76</v>
      </c>
      <c r="E24" s="6">
        <f>(B24*0.5)</f>
        <v>73733</v>
      </c>
      <c r="F24" s="55"/>
    </row>
    <row r="25" spans="1:6" s="54" customFormat="1" x14ac:dyDescent="0.3">
      <c r="A25" s="47" t="s">
        <v>42</v>
      </c>
      <c r="B25" s="52">
        <f>(B24*0.365)</f>
        <v>53825.09</v>
      </c>
      <c r="C25" s="53"/>
      <c r="E25" s="6">
        <f>(B25*0.5)</f>
        <v>26912.544999999998</v>
      </c>
      <c r="F25" s="55"/>
    </row>
    <row r="26" spans="1:6" s="43" customFormat="1" x14ac:dyDescent="0.3">
      <c r="A26" s="5" t="s">
        <v>77</v>
      </c>
      <c r="B26" s="6">
        <v>0</v>
      </c>
      <c r="C26" s="7"/>
      <c r="E26" s="5"/>
      <c r="F26" s="46"/>
    </row>
    <row r="27" spans="1:6" s="54" customFormat="1" ht="28.8" x14ac:dyDescent="0.3">
      <c r="A27" s="47" t="s">
        <v>45</v>
      </c>
      <c r="B27" s="52">
        <v>54313</v>
      </c>
      <c r="C27" s="53" t="s">
        <v>78</v>
      </c>
      <c r="E27" s="6">
        <f>(B27*0.5)</f>
        <v>27156.5</v>
      </c>
      <c r="F27" s="55"/>
    </row>
    <row r="28" spans="1:6" s="43" customFormat="1" x14ac:dyDescent="0.3">
      <c r="A28" s="5" t="s">
        <v>79</v>
      </c>
      <c r="B28" s="6">
        <v>0</v>
      </c>
      <c r="C28" s="7"/>
      <c r="E28" s="5"/>
      <c r="F28" s="46"/>
    </row>
    <row r="29" spans="1:6" s="43" customFormat="1" x14ac:dyDescent="0.3">
      <c r="A29" s="5" t="s">
        <v>80</v>
      </c>
      <c r="B29" s="6">
        <v>3000</v>
      </c>
      <c r="C29" s="7"/>
      <c r="E29" s="5">
        <v>0</v>
      </c>
      <c r="F29" s="46"/>
    </row>
    <row r="30" spans="1:6" s="43" customFormat="1" x14ac:dyDescent="0.3">
      <c r="A30" s="56" t="s">
        <v>56</v>
      </c>
      <c r="B30" s="57">
        <f>SUM(B24:B29)</f>
        <v>258604.09</v>
      </c>
      <c r="C30" s="58"/>
      <c r="E30" s="59">
        <f>SUM(E24:E29)</f>
        <v>127802.045</v>
      </c>
      <c r="F30" s="46"/>
    </row>
    <row r="31" spans="1:6" s="43" customFormat="1" x14ac:dyDescent="0.3">
      <c r="B31" s="60"/>
      <c r="C31" s="61"/>
      <c r="F31" s="46"/>
    </row>
    <row r="32" spans="1:6" s="43" customFormat="1" x14ac:dyDescent="0.3">
      <c r="A32" s="47" t="s">
        <v>57</v>
      </c>
      <c r="B32" s="52">
        <f>(B21+B30)</f>
        <v>316711.26767500001</v>
      </c>
      <c r="C32" s="53"/>
      <c r="E32" s="52">
        <f>(E21+E30)</f>
        <v>158648.38383750001</v>
      </c>
      <c r="F32" s="46"/>
    </row>
    <row r="33" spans="1:6" s="43" customFormat="1" ht="57.6" x14ac:dyDescent="0.3">
      <c r="A33" s="47" t="s">
        <v>58</v>
      </c>
      <c r="B33" s="62">
        <f>(54*12*300)</f>
        <v>194400</v>
      </c>
      <c r="C33" s="53" t="s">
        <v>81</v>
      </c>
      <c r="D33" s="54"/>
      <c r="E33" s="68">
        <f>(1798*54)</f>
        <v>97092</v>
      </c>
      <c r="F33" s="69" t="s">
        <v>82</v>
      </c>
    </row>
    <row r="34" spans="1:6" s="43" customFormat="1" x14ac:dyDescent="0.3">
      <c r="B34" s="60"/>
      <c r="C34" s="61"/>
      <c r="F34" s="46"/>
    </row>
    <row r="35" spans="1:6" s="43" customFormat="1" ht="18" x14ac:dyDescent="0.35">
      <c r="A35" s="63" t="s">
        <v>60</v>
      </c>
      <c r="B35" s="64">
        <f>SUM(B32:B34)</f>
        <v>511111.26767500001</v>
      </c>
      <c r="C35" s="7"/>
      <c r="E35" s="64">
        <f>SUM(E32:E34)</f>
        <v>255740.38383750001</v>
      </c>
      <c r="F35" s="46"/>
    </row>
    <row r="36" spans="1:6" s="43" customFormat="1" x14ac:dyDescent="0.3">
      <c r="B36" s="60"/>
      <c r="C36" s="60"/>
      <c r="D36" s="60"/>
      <c r="E36" s="61"/>
      <c r="F36" s="46"/>
    </row>
    <row r="37" spans="1:6" s="43" customFormat="1" x14ac:dyDescent="0.3">
      <c r="B37" s="60"/>
      <c r="C37" s="60"/>
      <c r="D37" s="60"/>
      <c r="E37" s="61"/>
      <c r="F37" s="46"/>
    </row>
    <row r="38" spans="1:6" s="43" customFormat="1" x14ac:dyDescent="0.3">
      <c r="B38" s="60"/>
      <c r="C38" s="60"/>
      <c r="D38" s="60"/>
      <c r="E38" s="61"/>
      <c r="F38" s="4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0DA84CCE8B3A43BB6644A0C20B8168" ma:contentTypeVersion="13" ma:contentTypeDescription="Create a new document." ma:contentTypeScope="" ma:versionID="fb2c91111cdc5276c73bfec1b33d58ed">
  <xsd:schema xmlns:xsd="http://www.w3.org/2001/XMLSchema" xmlns:xs="http://www.w3.org/2001/XMLSchema" xmlns:p="http://schemas.microsoft.com/office/2006/metadata/properties" xmlns:ns2="43756099-5487-49cf-ab3e-061543a9833d" xmlns:ns3="70da6ab9-5a25-45f8-8689-ca7f698366ca" targetNamespace="http://schemas.microsoft.com/office/2006/metadata/properties" ma:root="true" ma:fieldsID="5f6e05a24dd163c2bd7a5b91b01acc1e" ns2:_="" ns3:_="">
    <xsd:import namespace="43756099-5487-49cf-ab3e-061543a9833d"/>
    <xsd:import namespace="70da6ab9-5a25-45f8-8689-ca7f698366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56099-5487-49cf-ab3e-061543a98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a6ab9-5a25-45f8-8689-ca7f698366c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0573D5-53A3-48B2-9749-09601792A9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589608F-057D-4D34-98AC-3F2C7CD5D9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933D3C-004A-4E95-8E62-F3C1B9ABE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56099-5487-49cf-ab3e-061543a9833d"/>
    <ds:schemaRef ds:uri="70da6ab9-5a25-45f8-8689-ca7f698366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21 July 2020-June 2021</vt:lpstr>
      <vt:lpstr>FY 22 Q 1 &amp; 2-July-Dec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Bender</dc:creator>
  <cp:lastModifiedBy>Morton, Melissa</cp:lastModifiedBy>
  <dcterms:created xsi:type="dcterms:W3CDTF">2022-01-19T22:03:07Z</dcterms:created>
  <dcterms:modified xsi:type="dcterms:W3CDTF">2022-01-21T17:34:54Z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0x010100650DA84CCE8B3A43BB6644A0C20B8168</vt:lpwstr>
  </property>
</Properties>
</file>